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T:\CHDS_RBHSC\S_NISTAR\Web site\"/>
    </mc:Choice>
  </mc:AlternateContent>
  <bookViews>
    <workbookView xWindow="0" yWindow="1440" windowWidth="19320" windowHeight="14808"/>
  </bookViews>
  <sheets>
    <sheet name="Sheet1" sheetId="1" r:id="rId1"/>
    <sheet name="Sheet2" sheetId="2" r:id="rId2"/>
    <sheet name="Sheet3" sheetId="3" r:id="rId3"/>
  </sheets>
  <calcPr calcId="162913" concurrentCalc="0"/>
  <customWorkbookViews>
    <customWorkbookView name="mark.terris - Personal View" guid="{6A89CAE6-4226-4F8A-9676-6679963C9F13}" mergeInterval="0" personalView="1" maximized="1" xWindow="1" yWindow="1" windowWidth="1152" windowHeight="6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1" l="1"/>
  <c r="D25" i="1"/>
  <c r="C59" i="1"/>
  <c r="C58" i="1"/>
  <c r="F45" i="1"/>
  <c r="C45" i="1"/>
  <c r="C43" i="1"/>
  <c r="C60" i="1"/>
  <c r="F57" i="1"/>
  <c r="C57" i="1"/>
  <c r="F38" i="1"/>
  <c r="C38" i="1"/>
  <c r="C61" i="1"/>
  <c r="F61" i="1"/>
  <c r="C50" i="1"/>
  <c r="C53" i="1"/>
  <c r="C54" i="1"/>
  <c r="F54" i="1"/>
  <c r="C55" i="1"/>
  <c r="G49" i="1"/>
  <c r="D49" i="1"/>
  <c r="C52" i="1"/>
  <c r="C48" i="1"/>
  <c r="C41" i="1"/>
  <c r="F53" i="1"/>
  <c r="F55" i="1"/>
  <c r="F50" i="1"/>
  <c r="F16" i="1"/>
  <c r="D16" i="1"/>
  <c r="D15" i="1"/>
  <c r="D12" i="1"/>
  <c r="E5" i="1"/>
  <c r="C42" i="1"/>
  <c r="D14" i="1"/>
  <c r="C56" i="1"/>
  <c r="F56" i="1"/>
  <c r="C51" i="1"/>
  <c r="F51" i="1"/>
  <c r="C46" i="1"/>
  <c r="F46" i="1"/>
  <c r="E4" i="1"/>
  <c r="E6" i="1"/>
  <c r="D13" i="1"/>
  <c r="F13" i="1"/>
  <c r="D18" i="1"/>
  <c r="D19" i="1"/>
  <c r="D20" i="1"/>
  <c r="D21" i="1"/>
  <c r="D22" i="1"/>
  <c r="D24" i="1"/>
  <c r="D27" i="1"/>
  <c r="D29" i="1"/>
  <c r="F29" i="1"/>
  <c r="D30" i="1"/>
  <c r="D31" i="1"/>
  <c r="D32" i="1"/>
  <c r="F32" i="1"/>
  <c r="D33" i="1"/>
  <c r="F33" i="1"/>
  <c r="B34" i="1"/>
  <c r="E34" i="1"/>
  <c r="B35" i="1"/>
  <c r="B36" i="1"/>
  <c r="C44" i="1"/>
  <c r="C47" i="1"/>
  <c r="C40" i="1"/>
  <c r="E36" i="1"/>
  <c r="D9" i="1"/>
  <c r="F9" i="1"/>
  <c r="E35" i="1"/>
  <c r="C26" i="1"/>
  <c r="D10" i="1"/>
  <c r="F10" i="1"/>
  <c r="D8" i="1"/>
  <c r="D26" i="1"/>
</calcChain>
</file>

<file path=xl/sharedStrings.xml><?xml version="1.0" encoding="utf-8"?>
<sst xmlns="http://schemas.openxmlformats.org/spreadsheetml/2006/main" count="159" uniqueCount="129">
  <si>
    <r>
      <rPr>
        <b/>
        <sz val="10"/>
        <color indexed="8"/>
        <rFont val="Calibri"/>
        <family val="2"/>
      </rPr>
      <t>Paediatric Intensive Care calculator Version 2.6</t>
    </r>
    <r>
      <rPr>
        <sz val="10"/>
        <color theme="1"/>
        <rFont val="Calibri"/>
        <family val="2"/>
        <scheme val="minor"/>
      </rPr>
      <t>.  Instructions for use:  Complete the boxes shaded yellow with Patients Name,Date of Birth (DD/MM/YY) and weight. Any suggestions for improvements to mark.terris@belfasttrust.hscni.net</t>
    </r>
  </si>
  <si>
    <t>Name</t>
  </si>
  <si>
    <t>John Smith</t>
  </si>
  <si>
    <t>Todays Date</t>
  </si>
  <si>
    <t>Please note: sheet is only for</t>
  </si>
  <si>
    <t>Date of Birth</t>
  </si>
  <si>
    <t>Age (Years)</t>
  </si>
  <si>
    <t>guidance. You are responsible</t>
  </si>
  <si>
    <t>Weight (Kg)</t>
  </si>
  <si>
    <t>Est. Weight (Kg)</t>
  </si>
  <si>
    <t>for drugs administered.</t>
  </si>
  <si>
    <t>AIRWAY</t>
  </si>
  <si>
    <t>ETT</t>
  </si>
  <si>
    <t>Internal Diameter</t>
  </si>
  <si>
    <t>mms</t>
  </si>
  <si>
    <t>Suggested Length (Oral)</t>
  </si>
  <si>
    <t>cms</t>
  </si>
  <si>
    <t>Suggested Length (Nasal)</t>
  </si>
  <si>
    <t>FLUIDS</t>
  </si>
  <si>
    <t>Resuscitation Bolus (20 mls/Kg)</t>
  </si>
  <si>
    <t>mls</t>
  </si>
  <si>
    <t>Half volume in trauma/DKA and repeat if necessary</t>
  </si>
  <si>
    <t>Maintenance</t>
  </si>
  <si>
    <t>mls/hr</t>
  </si>
  <si>
    <t>Hypoglycaemia</t>
  </si>
  <si>
    <t>2mls/Kg</t>
  </si>
  <si>
    <t>10% Dextrose and then commence dextrose infusion</t>
  </si>
  <si>
    <t>2.7% Hypertonic Saline</t>
  </si>
  <si>
    <t>3mls/Kg</t>
  </si>
  <si>
    <t>Mannitol</t>
  </si>
  <si>
    <t>0.5g/Kg</t>
  </si>
  <si>
    <t>g</t>
  </si>
  <si>
    <t>mls of 10% Mannitol</t>
  </si>
  <si>
    <t>INDUCTION AGENTS</t>
  </si>
  <si>
    <t>Ketamine</t>
  </si>
  <si>
    <t>IV (2mg/Kg)</t>
  </si>
  <si>
    <t>mg</t>
  </si>
  <si>
    <t>Thiopentone</t>
  </si>
  <si>
    <t>IV (4mg/Kg)</t>
  </si>
  <si>
    <t>Lower dose neonates (2mg/Kg)</t>
  </si>
  <si>
    <t>Propofol</t>
  </si>
  <si>
    <t>IV (2.5mg/Kg)</t>
  </si>
  <si>
    <t>Midazolam</t>
  </si>
  <si>
    <t>IV (0.1mg/Kg)</t>
  </si>
  <si>
    <t>Fentanyl</t>
  </si>
  <si>
    <t>IV (2mcg/Kg)</t>
  </si>
  <si>
    <t>mcg</t>
  </si>
  <si>
    <t>MUSCLE RELAXANTS</t>
  </si>
  <si>
    <t>Atracurium</t>
  </si>
  <si>
    <t>IV (0.5mg/Kg)</t>
  </si>
  <si>
    <t>Rocuronium</t>
  </si>
  <si>
    <t>IV (1 mg/Kg)</t>
  </si>
  <si>
    <t>Suxamethonium</t>
  </si>
  <si>
    <t>Vecuronium</t>
  </si>
  <si>
    <t>RESUSCITATION</t>
  </si>
  <si>
    <t>Adrenaline</t>
  </si>
  <si>
    <t>IV (10micrograms/Kg)</t>
  </si>
  <si>
    <t>micrograms</t>
  </si>
  <si>
    <t>mls of 1:10,000 Adrenaline</t>
  </si>
  <si>
    <t>Amiodarone</t>
  </si>
  <si>
    <t>IV (5mgs/Kg)</t>
  </si>
  <si>
    <t>mgs</t>
  </si>
  <si>
    <t>Atropine</t>
  </si>
  <si>
    <t>IV (20micrograms/Kg)</t>
  </si>
  <si>
    <t>Calcium</t>
  </si>
  <si>
    <t>IV (0.11mmol/Kg)</t>
  </si>
  <si>
    <t>mmols</t>
  </si>
  <si>
    <t>mls of 10% Calcium Gluconate</t>
  </si>
  <si>
    <t>Magnesium</t>
  </si>
  <si>
    <t>IV (50mgs/Kg)</t>
  </si>
  <si>
    <t>mls of 50% w/v Magnesium Sulphate</t>
  </si>
  <si>
    <t>Please note:  this sheet is for guidance only.</t>
  </si>
  <si>
    <t>You are responsible for administering drugs to</t>
  </si>
  <si>
    <t>Weight</t>
  </si>
  <si>
    <t>Predicted Weight</t>
  </si>
  <si>
    <t xml:space="preserve"> your patient!</t>
  </si>
  <si>
    <t>INFUSIONS</t>
  </si>
  <si>
    <r>
      <t xml:space="preserve">Adrenaline </t>
    </r>
    <r>
      <rPr>
        <b/>
        <sz val="11"/>
        <color theme="1"/>
        <rFont val="Calibri"/>
        <family val="2"/>
        <scheme val="minor"/>
      </rPr>
      <t>(Central)</t>
    </r>
  </si>
  <si>
    <t>mgs in 50mls of diluent total</t>
  </si>
  <si>
    <t>mls/hour=0.1micrograms/Kg/min(Range 0.1-1.5 micrograms/Kg/min)</t>
  </si>
  <si>
    <r>
      <t xml:space="preserve">Adrenaline </t>
    </r>
    <r>
      <rPr>
        <b/>
        <sz val="11"/>
        <color theme="1"/>
        <rFont val="Calibri"/>
        <family val="2"/>
        <scheme val="minor"/>
      </rPr>
      <t>(Peripheral)</t>
    </r>
  </si>
  <si>
    <t>mls/hr of 1mg in 50mls diluent = 0.1mcg/Kg/min</t>
  </si>
  <si>
    <t>Aminophyline</t>
  </si>
  <si>
    <r>
      <rPr>
        <b/>
        <sz val="10"/>
        <color indexed="8"/>
        <rFont val="Calibri"/>
        <family val="2"/>
      </rPr>
      <t xml:space="preserve">MLS/HR of 1mg/ml solution=0.5mg/Kg/hour </t>
    </r>
    <r>
      <rPr>
        <sz val="10"/>
        <color indexed="8"/>
        <rFont val="Calibri"/>
        <family val="2"/>
      </rPr>
      <t>(Start 0.5-1mg/Kg/Hr per Level/Age)</t>
    </r>
  </si>
  <si>
    <t>mgs in 50mls 5% Dextrose. 1ml/hr = 5micrograms/Kg/min (Range 5-25 micrograms/Kg/min)</t>
  </si>
  <si>
    <r>
      <t xml:space="preserve">MLS/HR of 500mgs in 50mls neat solution=0.3mgs/Kg/hour </t>
    </r>
    <r>
      <rPr>
        <sz val="10"/>
        <color indexed="8"/>
        <rFont val="Calibri"/>
        <family val="2"/>
      </rPr>
      <t>(Range 0.3-1.5 mg/Kg/Hr)</t>
    </r>
  </si>
  <si>
    <t>Clonidine</t>
  </si>
  <si>
    <t>micrograms in 50mls diluent total</t>
  </si>
  <si>
    <t>mls/hour=1micrograms/Kg/hour (Range 0.5-2 micrograms/Kg/hour)</t>
  </si>
  <si>
    <t>Dinoprostone</t>
  </si>
  <si>
    <r>
      <rPr>
        <b/>
        <sz val="10"/>
        <color indexed="8"/>
        <rFont val="Calibri"/>
        <family val="2"/>
      </rPr>
      <t>MLS/HR of 1 MICROGRAM/mL solution</t>
    </r>
    <r>
      <rPr>
        <sz val="10"/>
        <color indexed="8"/>
        <rFont val="Calibri"/>
        <family val="2"/>
      </rPr>
      <t xml:space="preserve"> = 5 nanograms/Kg/min (Range 5-20 nanograms/Kg/min)</t>
    </r>
  </si>
  <si>
    <t>Dexmetomidine</t>
  </si>
  <si>
    <t>mls/hr=0.1 micrograms/Kg/hour (Range 0.1 to 1.4 micrograms/Kg/Hour)</t>
  </si>
  <si>
    <t>Dobutamine</t>
  </si>
  <si>
    <t>15mgs/Kg=</t>
  </si>
  <si>
    <t>mgs in 50mls of diluent total.</t>
  </si>
  <si>
    <t>mls/hr= 5 micrograms/Kg/min (Range 5-20 micrograms/Kg/min)</t>
  </si>
  <si>
    <t>Dopamine</t>
  </si>
  <si>
    <t>mgs in 50mls of diluent total.  1ml/hr= 5 micrograms/Kg/min (Range 5-20 micrograms/Kg/min)</t>
  </si>
  <si>
    <t>Esmolol</t>
  </si>
  <si>
    <r>
      <rPr>
        <b/>
        <sz val="10"/>
        <color indexed="8"/>
        <rFont val="Calibri"/>
        <family val="2"/>
      </rPr>
      <t>MLS/HR of 10mg/ml neat solution</t>
    </r>
    <r>
      <rPr>
        <sz val="10"/>
        <color indexed="8"/>
        <rFont val="Calibri"/>
        <family val="2"/>
      </rPr>
      <t>=50 micrograms/Kg/min.  (Range 50-200 micrograms/Kg/min)</t>
    </r>
  </si>
  <si>
    <t>Glucose/Insulin for HYPERKALAEMIA</t>
  </si>
  <si>
    <t xml:space="preserve">mls of 50% Dextrose and </t>
  </si>
  <si>
    <t>UNITS of insulin together.</t>
  </si>
  <si>
    <t>Furosemide</t>
  </si>
  <si>
    <t>mgs in 50mls diluent total</t>
  </si>
  <si>
    <t>mls/hr= 0.1 mg/Kg/hour  (Range 0.1-2mg/Kg/hour)</t>
  </si>
  <si>
    <t>mls/hr=4 microgrammes/kg/hr(Range 4-10 microgrammes/Kg/Hr)</t>
  </si>
  <si>
    <t>Labetalol</t>
  </si>
  <si>
    <r>
      <rPr>
        <b/>
        <sz val="10"/>
        <color indexed="8"/>
        <rFont val="Calibri"/>
        <family val="2"/>
      </rPr>
      <t>MLS/HR of 5 mg/ml neat solution</t>
    </r>
    <r>
      <rPr>
        <sz val="10"/>
        <color indexed="8"/>
        <rFont val="Calibri"/>
        <family val="2"/>
      </rPr>
      <t>= 0.5mg/Kg/hour (Range 0.5-3 mg/Kg/hour)</t>
    </r>
  </si>
  <si>
    <t>mgs in 50 mls diluent total.</t>
  </si>
  <si>
    <t>mls/hr=10 micrograms/Kg/min (Range 10-40 micrograms/Kg/min)</t>
  </si>
  <si>
    <t>mls/hr= 0.1mg/Kg/hour (Range 0.1-0.2mg/Kg/hour)</t>
  </si>
  <si>
    <t>Milrinone</t>
  </si>
  <si>
    <t>mls/hr=0.5microgrammes/Kg/min(Range 0.3-.75mcg/Kg/min)</t>
  </si>
  <si>
    <t>Morphine</t>
  </si>
  <si>
    <t>mls/hr=20micrograms/Kg/hour (Range 10-60 micrograms/Kg/Hr)</t>
  </si>
  <si>
    <t>NorAdrenaline</t>
  </si>
  <si>
    <t>mgs in 50mls of 5% Dextrose total</t>
  </si>
  <si>
    <t>mls/hour=0.1 micrograms/Kg/min Range(0.1-1 micrograms/Kg/min)</t>
  </si>
  <si>
    <r>
      <t>MLS/HR of 500mgs in 50mls neat solution=1.0 mgs/Kg/hour</t>
    </r>
    <r>
      <rPr>
        <sz val="10"/>
        <color indexed="8"/>
        <rFont val="Calibri"/>
        <family val="2"/>
      </rPr>
      <t xml:space="preserve"> (Range 0.3-1.0 mg/Kg/Hr)</t>
    </r>
  </si>
  <si>
    <t>Salbutamol</t>
  </si>
  <si>
    <r>
      <rPr>
        <b/>
        <sz val="9"/>
        <color indexed="8"/>
        <rFont val="Calibri"/>
        <family val="2"/>
      </rPr>
      <t>MLS/HR of 10mgs in 50mls of diluent total =1micrograms/Kg/min</t>
    </r>
    <r>
      <rPr>
        <sz val="9"/>
        <color indexed="8"/>
        <rFont val="Calibri"/>
        <family val="2"/>
      </rPr>
      <t>(Range 1-5 micrograms/Kg/min)</t>
    </r>
  </si>
  <si>
    <t>MAX 6mls/Hr=20mcg/min</t>
  </si>
  <si>
    <t>Vasopressin</t>
  </si>
  <si>
    <t>0.9 Units/Kg=</t>
  </si>
  <si>
    <t>units in 50 mls diluent total. 1ml/hr =0.0003 Units/Kg/min (Range 0.0003-0.002 Units/Kg/min)</t>
  </si>
  <si>
    <t>mgs in 50mls diluent total.</t>
  </si>
  <si>
    <t>mls/hr=0.1 mg/kg/hr (Range 0.05-0.2mg/Kg/Hr)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</si>
</sst>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?/2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165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0" fontId="0" fillId="3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14" fontId="0" fillId="0" borderId="0" xfId="0" applyNumberFormat="1" applyAlignment="1" applyProtection="1">
      <alignment horizontal="left"/>
      <protection hidden="1"/>
    </xf>
    <xf numFmtId="0" fontId="0" fillId="4" borderId="0" xfId="0" applyFill="1" applyProtection="1">
      <protection hidden="1"/>
    </xf>
    <xf numFmtId="164" fontId="0" fillId="0" borderId="0" xfId="0" applyNumberFormat="1" applyAlignment="1" applyProtection="1">
      <alignment horizontal="left"/>
      <protection hidden="1"/>
    </xf>
    <xf numFmtId="0" fontId="0" fillId="3" borderId="0" xfId="0" applyFill="1" applyAlignment="1" applyProtection="1">
      <alignment horizontal="right"/>
      <protection hidden="1"/>
    </xf>
    <xf numFmtId="2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164" fontId="0" fillId="0" borderId="0" xfId="0" applyNumberFormat="1" applyAlignment="1" applyProtection="1">
      <alignment horizontal="right"/>
      <protection hidden="1"/>
    </xf>
    <xf numFmtId="0" fontId="0" fillId="6" borderId="0" xfId="0" applyFill="1" applyAlignment="1" applyProtection="1">
      <alignment horizontal="right"/>
      <protection hidden="1"/>
    </xf>
    <xf numFmtId="0" fontId="1" fillId="6" borderId="0" xfId="0" applyFont="1" applyFill="1" applyProtection="1">
      <protection hidden="1"/>
    </xf>
    <xf numFmtId="0" fontId="2" fillId="6" borderId="0" xfId="0" applyFont="1" applyFill="1" applyProtection="1">
      <protection hidden="1"/>
    </xf>
    <xf numFmtId="164" fontId="0" fillId="6" borderId="0" xfId="0" applyNumberFormat="1" applyFill="1" applyProtection="1">
      <protection hidden="1"/>
    </xf>
    <xf numFmtId="2" fontId="0" fillId="6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9" fillId="6" borderId="0" xfId="0" applyFont="1" applyFill="1" applyProtection="1">
      <protection hidden="1"/>
    </xf>
    <xf numFmtId="0" fontId="2" fillId="7" borderId="0" xfId="0" applyFont="1" applyFill="1" applyProtection="1">
      <protection hidden="1"/>
    </xf>
    <xf numFmtId="0" fontId="8" fillId="6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0" fillId="6" borderId="0" xfId="0" applyFont="1" applyFill="1" applyProtection="1">
      <protection hidden="1"/>
    </xf>
    <xf numFmtId="49" fontId="10" fillId="6" borderId="0" xfId="0" applyNumberFormat="1" applyFont="1" applyFill="1" applyProtection="1">
      <protection hidden="1"/>
    </xf>
    <xf numFmtId="49" fontId="5" fillId="6" borderId="0" xfId="0" applyNumberFormat="1" applyFont="1" applyFill="1" applyProtection="1">
      <protection hidden="1"/>
    </xf>
    <xf numFmtId="49" fontId="2" fillId="6" borderId="0" xfId="0" applyNumberFormat="1" applyFont="1" applyFill="1" applyProtection="1">
      <protection hidden="1"/>
    </xf>
    <xf numFmtId="2" fontId="0" fillId="7" borderId="0" xfId="0" applyNumberFormat="1" applyFill="1" applyAlignment="1" applyProtection="1">
      <alignment horizontal="right"/>
      <protection hidden="1"/>
    </xf>
    <xf numFmtId="0" fontId="4" fillId="6" borderId="0" xfId="0" applyFont="1" applyFill="1" applyProtection="1"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164" fontId="0" fillId="6" borderId="0" xfId="0" applyNumberFormat="1" applyFill="1" applyAlignment="1" applyProtection="1">
      <alignment horizontal="right"/>
      <protection hidden="1"/>
    </xf>
    <xf numFmtId="2" fontId="0" fillId="6" borderId="0" xfId="0" applyNumberFormat="1" applyFill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protection hidden="1"/>
    </xf>
    <xf numFmtId="14" fontId="0" fillId="0" borderId="3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protection hidden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0" borderId="2" xfId="0" applyBorder="1" applyAlignment="1" applyProtection="1">
      <protection locked="0" hidden="1"/>
    </xf>
    <xf numFmtId="14" fontId="0" fillId="5" borderId="3" xfId="0" applyNumberFormat="1" applyFill="1" applyBorder="1" applyAlignment="1" applyProtection="1">
      <alignment horizontal="center"/>
      <protection locked="0" hidden="1"/>
    </xf>
    <xf numFmtId="0" fontId="0" fillId="0" borderId="4" xfId="0" applyBorder="1" applyAlignment="1" applyProtection="1">
      <protection locked="0" hidden="1"/>
    </xf>
    <xf numFmtId="0" fontId="0" fillId="5" borderId="5" xfId="0" applyFill="1" applyBorder="1" applyAlignment="1" applyProtection="1">
      <alignment horizontal="center"/>
      <protection locked="0" hidden="1"/>
    </xf>
    <xf numFmtId="0" fontId="0" fillId="0" borderId="6" xfId="0" applyBorder="1" applyAlignment="1" applyProtection="1">
      <protection locked="0" hidden="1"/>
    </xf>
  </cellXfs>
  <cellStyles count="13">
    <cellStyle name="Followed Hyperlink" xfId="10" builtinId="9" hidden="1"/>
    <cellStyle name="Followed Hyperlink" xfId="12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7" builtinId="8" hidden="1"/>
    <cellStyle name="Hyperlink" xfId="9" builtinId="8" hidden="1"/>
    <cellStyle name="Hyperlink" xfId="11" builtinId="8" hidden="1"/>
    <cellStyle name="Hyperlink" xfId="5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</xdr:row>
      <xdr:rowOff>123825</xdr:rowOff>
    </xdr:from>
    <xdr:to>
      <xdr:col>11</xdr:col>
      <xdr:colOff>495300</xdr:colOff>
      <xdr:row>4</xdr:row>
      <xdr:rowOff>171450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14325"/>
          <a:ext cx="22383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61"/>
  <sheetViews>
    <sheetView tabSelected="1" topLeftCell="A4" zoomScale="110" zoomScaleNormal="110" zoomScalePageLayoutView="125" workbookViewId="0">
      <selection activeCell="B4" sqref="B4:C4"/>
    </sheetView>
  </sheetViews>
  <sheetFormatPr defaultColWidth="8.88671875" defaultRowHeight="14.4" x14ac:dyDescent="0.3"/>
  <cols>
    <col min="1" max="1" width="14.88671875" style="5" customWidth="1"/>
    <col min="2" max="2" width="13.33203125" style="5" customWidth="1"/>
    <col min="3" max="3" width="15.109375" style="5" customWidth="1"/>
    <col min="4" max="4" width="16.44140625" style="5" customWidth="1"/>
    <col min="5" max="5" width="12.44140625" style="5" customWidth="1"/>
    <col min="6" max="6" width="8" style="5" customWidth="1"/>
    <col min="7" max="7" width="8.88671875" style="5"/>
    <col min="8" max="8" width="12" style="5" customWidth="1"/>
    <col min="9" max="9" width="8.88671875" style="5"/>
    <col min="10" max="10" width="9.109375" style="5" customWidth="1"/>
    <col min="11" max="16384" width="8.88671875" style="5"/>
  </cols>
  <sheetData>
    <row r="1" spans="1:25" ht="15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3"/>
      <c r="J1" s="33"/>
      <c r="K1" s="33"/>
      <c r="L1" s="33"/>
    </row>
    <row r="2" spans="1:25" x14ac:dyDescent="0.3">
      <c r="A2" s="34"/>
      <c r="B2" s="34"/>
      <c r="C2" s="34"/>
      <c r="D2" s="34"/>
      <c r="E2" s="34"/>
      <c r="F2" s="34"/>
      <c r="G2" s="34"/>
      <c r="H2" s="34"/>
      <c r="I2" s="33"/>
      <c r="J2" s="33"/>
      <c r="K2" s="33"/>
      <c r="L2" s="33"/>
    </row>
    <row r="3" spans="1:25" s="3" customFormat="1" ht="15" thickBot="1" x14ac:dyDescent="0.35">
      <c r="I3" s="33"/>
      <c r="J3" s="33"/>
      <c r="K3" s="33"/>
      <c r="L3" s="3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s="22" customFormat="1" x14ac:dyDescent="0.3">
      <c r="A4" s="11" t="s">
        <v>1</v>
      </c>
      <c r="B4" s="41" t="s">
        <v>2</v>
      </c>
      <c r="C4" s="42"/>
      <c r="D4" s="11" t="s">
        <v>3</v>
      </c>
      <c r="E4" s="6">
        <f ca="1">TODAY()</f>
        <v>44925</v>
      </c>
      <c r="F4" s="7" t="s">
        <v>4</v>
      </c>
      <c r="G4" s="7"/>
      <c r="H4" s="7"/>
      <c r="I4" s="33"/>
      <c r="J4" s="33"/>
      <c r="K4" s="33"/>
      <c r="L4" s="33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s="22" customFormat="1" x14ac:dyDescent="0.3">
      <c r="A5" s="11" t="s">
        <v>5</v>
      </c>
      <c r="B5" s="43">
        <v>43803</v>
      </c>
      <c r="C5" s="44"/>
      <c r="D5" s="11" t="s">
        <v>6</v>
      </c>
      <c r="E5" s="8">
        <f ca="1">((TODAY()-B5)/365)</f>
        <v>3.0739726027397261</v>
      </c>
      <c r="F5" s="7" t="s">
        <v>7</v>
      </c>
      <c r="G5" s="7"/>
      <c r="H5" s="7"/>
      <c r="I5" s="33"/>
      <c r="J5" s="33"/>
      <c r="K5" s="33"/>
      <c r="L5" s="33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22" customFormat="1" ht="15" thickBot="1" x14ac:dyDescent="0.35">
      <c r="A6" s="11" t="s">
        <v>8</v>
      </c>
      <c r="B6" s="45">
        <v>10</v>
      </c>
      <c r="C6" s="46"/>
      <c r="D6" s="11" t="s">
        <v>9</v>
      </c>
      <c r="E6" s="8">
        <f ca="1">IF(E5&lt;1,(0.5*(E5*12))+4,IF(E5&gt;12,"Not suitable for formula",IF(E5&lt;5,(2*E5)+8,(E5*3)+7)))</f>
        <v>14.147945205479452</v>
      </c>
      <c r="F6" s="7" t="s">
        <v>10</v>
      </c>
      <c r="G6" s="7"/>
      <c r="H6" s="7"/>
      <c r="I6" s="33"/>
      <c r="J6" s="33"/>
      <c r="K6" s="33"/>
      <c r="L6" s="33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s="3" customFormat="1" x14ac:dyDescent="0.3">
      <c r="A7" s="3" t="s">
        <v>11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x14ac:dyDescent="0.3">
      <c r="A8" s="11" t="s">
        <v>12</v>
      </c>
      <c r="B8" s="11"/>
      <c r="C8" s="13" t="s">
        <v>13</v>
      </c>
      <c r="D8" s="1">
        <f ca="1">IF(E5&lt;1,"3.0 to 4.0",IF((E5/4)+4&gt;8,8,(E5/4)+4))</f>
        <v>4.7684931506849315</v>
      </c>
      <c r="E8" s="11" t="s">
        <v>14</v>
      </c>
      <c r="F8" s="11"/>
      <c r="G8" s="11"/>
      <c r="H8" s="11"/>
      <c r="I8" s="11"/>
      <c r="J8" s="11"/>
      <c r="K8" s="11"/>
      <c r="L8" s="11"/>
    </row>
    <row r="9" spans="1:25" x14ac:dyDescent="0.3">
      <c r="A9" s="11"/>
      <c r="B9" s="11"/>
      <c r="C9" s="13" t="s">
        <v>15</v>
      </c>
      <c r="D9" s="2">
        <f ca="1">IF(E5&lt;1,(E5/2)+8,IF(((E5/2)+13)&gt;25,25,(E5/2)+13))</f>
        <v>14.536986301369863</v>
      </c>
      <c r="E9" s="11" t="s">
        <v>16</v>
      </c>
      <c r="F9" s="11" t="str">
        <f ca="1">IF(D9&gt;24,"Suggested Maximum","")</f>
        <v/>
      </c>
      <c r="G9" s="11"/>
      <c r="H9" s="11"/>
      <c r="I9" s="11"/>
      <c r="J9" s="11"/>
      <c r="K9" s="11"/>
      <c r="L9" s="11"/>
    </row>
    <row r="10" spans="1:25" x14ac:dyDescent="0.3">
      <c r="A10" s="11"/>
      <c r="B10" s="11"/>
      <c r="C10" s="13" t="s">
        <v>17</v>
      </c>
      <c r="D10" s="2">
        <f ca="1">IF(E5&lt;1,(E5/2)+9,IF(((E5/2)+15)&gt;28,28,(E5/2+15)))</f>
        <v>16.536986301369865</v>
      </c>
      <c r="E10" s="11" t="s">
        <v>16</v>
      </c>
      <c r="F10" s="11" t="str">
        <f ca="1">IF(D10&gt;24,"Suggested Maximum","")</f>
        <v/>
      </c>
      <c r="G10" s="11"/>
      <c r="H10" s="11"/>
      <c r="I10" s="11"/>
      <c r="J10" s="11"/>
      <c r="K10" s="11"/>
      <c r="L10" s="11"/>
    </row>
    <row r="11" spans="1:25" s="3" customFormat="1" x14ac:dyDescent="0.3">
      <c r="A11" s="3" t="s">
        <v>18</v>
      </c>
      <c r="C11" s="9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3">
      <c r="A12" s="11" t="s">
        <v>19</v>
      </c>
      <c r="B12" s="11"/>
      <c r="C12" s="13"/>
      <c r="D12" s="2">
        <f>IF((B6*20)&gt;500,500,B6*20)</f>
        <v>200</v>
      </c>
      <c r="E12" s="11" t="s">
        <v>20</v>
      </c>
      <c r="F12" s="11" t="s">
        <v>21</v>
      </c>
      <c r="G12" s="11"/>
      <c r="H12" s="11"/>
      <c r="I12" s="11"/>
      <c r="J12" s="11"/>
      <c r="K12" s="11"/>
      <c r="L12" s="11"/>
    </row>
    <row r="13" spans="1:25" x14ac:dyDescent="0.3">
      <c r="A13" s="11" t="s">
        <v>22</v>
      </c>
      <c r="B13" s="11"/>
      <c r="C13" s="13"/>
      <c r="D13" s="2">
        <f>IF(B6&lt;11,B6*4,IF(B6&lt;21,40+(B6-10)*2,IF(B6&gt;20,60+(B6-20))))</f>
        <v>40</v>
      </c>
      <c r="E13" s="11" t="s">
        <v>23</v>
      </c>
      <c r="F13" s="11" t="str">
        <f>IF(D13&gt;75,"CAUTION WITH RATES &gt;75 mls/Hr","")</f>
        <v/>
      </c>
      <c r="G13" s="11"/>
      <c r="H13" s="11"/>
      <c r="I13" s="11"/>
      <c r="J13" s="11"/>
      <c r="K13" s="11"/>
      <c r="L13" s="11"/>
    </row>
    <row r="14" spans="1:25" x14ac:dyDescent="0.3">
      <c r="A14" s="11" t="s">
        <v>24</v>
      </c>
      <c r="B14" s="11"/>
      <c r="C14" s="13" t="s">
        <v>25</v>
      </c>
      <c r="D14" s="2">
        <f>B6*2</f>
        <v>20</v>
      </c>
      <c r="E14" s="11" t="s">
        <v>20</v>
      </c>
      <c r="F14" s="11" t="s">
        <v>26</v>
      </c>
      <c r="G14" s="11"/>
      <c r="H14" s="11"/>
      <c r="I14" s="11"/>
      <c r="J14" s="11"/>
      <c r="K14" s="11"/>
      <c r="L14" s="11"/>
    </row>
    <row r="15" spans="1:25" x14ac:dyDescent="0.3">
      <c r="A15" s="11" t="s">
        <v>27</v>
      </c>
      <c r="B15" s="11"/>
      <c r="C15" s="13" t="s">
        <v>28</v>
      </c>
      <c r="D15" s="2">
        <f>IF((B6*3)&gt;100,100,B6*3)</f>
        <v>30</v>
      </c>
      <c r="E15" s="11" t="s">
        <v>20</v>
      </c>
      <c r="F15" s="11"/>
      <c r="G15" s="11"/>
      <c r="H15" s="11"/>
      <c r="I15" s="11"/>
      <c r="J15" s="11"/>
      <c r="K15" s="11"/>
      <c r="L15" s="11"/>
    </row>
    <row r="16" spans="1:25" x14ac:dyDescent="0.3">
      <c r="A16" s="11" t="s">
        <v>29</v>
      </c>
      <c r="B16" s="11"/>
      <c r="C16" s="13" t="s">
        <v>30</v>
      </c>
      <c r="D16" s="2">
        <f>B6*0.5</f>
        <v>5</v>
      </c>
      <c r="E16" s="11" t="s">
        <v>31</v>
      </c>
      <c r="F16" s="5">
        <f>B6*5</f>
        <v>50</v>
      </c>
      <c r="G16" s="11" t="s">
        <v>32</v>
      </c>
      <c r="H16" s="11"/>
      <c r="I16" s="11"/>
      <c r="J16" s="11"/>
      <c r="K16" s="11"/>
      <c r="L16" s="11"/>
    </row>
    <row r="17" spans="1:25" x14ac:dyDescent="0.3">
      <c r="A17" s="3" t="s">
        <v>33</v>
      </c>
      <c r="B17" s="3"/>
      <c r="C17" s="9"/>
      <c r="D17" s="3"/>
      <c r="E17" s="3"/>
      <c r="F17" s="3"/>
      <c r="G17" s="3"/>
      <c r="H17" s="3"/>
      <c r="I17" s="3"/>
      <c r="J17" s="3"/>
      <c r="K17" s="3"/>
      <c r="L17" s="3"/>
    </row>
    <row r="18" spans="1:25" x14ac:dyDescent="0.3">
      <c r="A18" s="11" t="s">
        <v>34</v>
      </c>
      <c r="B18" s="11"/>
      <c r="C18" s="13" t="s">
        <v>35</v>
      </c>
      <c r="D18" s="2">
        <f>B6*2</f>
        <v>20</v>
      </c>
      <c r="E18" s="11" t="s">
        <v>36</v>
      </c>
      <c r="F18" s="11"/>
      <c r="G18" s="11"/>
      <c r="H18" s="11"/>
      <c r="I18" s="11"/>
      <c r="J18" s="11"/>
      <c r="K18" s="11"/>
      <c r="L18" s="11"/>
    </row>
    <row r="19" spans="1:25" s="3" customFormat="1" x14ac:dyDescent="0.3">
      <c r="A19" s="11" t="s">
        <v>37</v>
      </c>
      <c r="B19" s="11"/>
      <c r="C19" s="13" t="s">
        <v>38</v>
      </c>
      <c r="D19" s="2">
        <f>B6*4</f>
        <v>40</v>
      </c>
      <c r="E19" s="11" t="s">
        <v>36</v>
      </c>
      <c r="F19" s="11" t="s">
        <v>39</v>
      </c>
      <c r="G19" s="11"/>
      <c r="H19" s="11"/>
      <c r="I19" s="11"/>
      <c r="J19" s="11"/>
      <c r="K19" s="11"/>
      <c r="L19" s="11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3">
      <c r="A20" s="11" t="s">
        <v>40</v>
      </c>
      <c r="B20" s="11"/>
      <c r="C20" s="13" t="s">
        <v>41</v>
      </c>
      <c r="D20" s="2">
        <f>B6*2.5</f>
        <v>25</v>
      </c>
      <c r="E20" s="11" t="s">
        <v>36</v>
      </c>
      <c r="F20" s="11"/>
      <c r="G20" s="11"/>
      <c r="H20" s="11"/>
      <c r="I20" s="11"/>
      <c r="J20" s="11"/>
      <c r="K20" s="11"/>
      <c r="L20" s="11"/>
    </row>
    <row r="21" spans="1:25" x14ac:dyDescent="0.3">
      <c r="A21" s="11" t="s">
        <v>42</v>
      </c>
      <c r="B21" s="11"/>
      <c r="C21" s="13" t="s">
        <v>43</v>
      </c>
      <c r="D21" s="4">
        <f>B6*0.1</f>
        <v>1</v>
      </c>
      <c r="E21" s="11" t="s">
        <v>36</v>
      </c>
      <c r="F21" s="11"/>
      <c r="G21" s="11"/>
      <c r="H21" s="11"/>
      <c r="I21" s="11"/>
      <c r="J21" s="11"/>
      <c r="K21" s="11"/>
      <c r="L21" s="11"/>
    </row>
    <row r="22" spans="1:25" x14ac:dyDescent="0.3">
      <c r="A22" s="11" t="s">
        <v>44</v>
      </c>
      <c r="B22" s="11"/>
      <c r="C22" s="13" t="s">
        <v>45</v>
      </c>
      <c r="D22" s="2">
        <f>B6*2</f>
        <v>20</v>
      </c>
      <c r="E22" s="11" t="s">
        <v>46</v>
      </c>
      <c r="F22" s="11"/>
      <c r="G22" s="11"/>
      <c r="H22" s="11"/>
      <c r="I22" s="11"/>
      <c r="J22" s="11"/>
      <c r="K22" s="11"/>
      <c r="L22" s="11"/>
    </row>
    <row r="23" spans="1:25" x14ac:dyDescent="0.3">
      <c r="A23" s="3" t="s">
        <v>47</v>
      </c>
      <c r="B23" s="3"/>
      <c r="C23" s="9"/>
      <c r="D23" s="3"/>
      <c r="E23" s="3"/>
      <c r="F23" s="3"/>
      <c r="G23" s="3"/>
      <c r="H23" s="3"/>
      <c r="I23" s="3"/>
      <c r="J23" s="3"/>
      <c r="K23" s="3"/>
      <c r="L23" s="3"/>
    </row>
    <row r="24" spans="1:25" s="3" customFormat="1" x14ac:dyDescent="0.3">
      <c r="A24" s="11" t="s">
        <v>48</v>
      </c>
      <c r="B24" s="11"/>
      <c r="C24" s="13" t="s">
        <v>49</v>
      </c>
      <c r="D24" s="4">
        <f>B6*0.5</f>
        <v>5</v>
      </c>
      <c r="E24" s="11" t="s">
        <v>36</v>
      </c>
      <c r="F24" s="11"/>
      <c r="G24" s="11"/>
      <c r="H24" s="11"/>
      <c r="I24" s="11"/>
      <c r="J24" s="11"/>
      <c r="K24" s="11"/>
      <c r="L24" s="11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x14ac:dyDescent="0.3">
      <c r="A25" s="11" t="s">
        <v>50</v>
      </c>
      <c r="B25" s="11"/>
      <c r="C25" s="13" t="s">
        <v>51</v>
      </c>
      <c r="D25" s="4">
        <f>B6</f>
        <v>10</v>
      </c>
      <c r="E25" s="11" t="s">
        <v>36</v>
      </c>
      <c r="F25" s="11"/>
      <c r="G25" s="11"/>
      <c r="H25" s="11"/>
      <c r="I25" s="11"/>
      <c r="J25" s="11"/>
      <c r="K25" s="11"/>
      <c r="L25" s="11"/>
    </row>
    <row r="26" spans="1:25" x14ac:dyDescent="0.3">
      <c r="A26" s="14" t="s">
        <v>52</v>
      </c>
      <c r="B26" s="15"/>
      <c r="C26" s="13" t="str">
        <f ca="1">IF(E5&lt;1,"IV (2mg/Kg)","IV (1mg/Kg)")</f>
        <v>IV (1mg/Kg)</v>
      </c>
      <c r="D26" s="4">
        <f ca="1">IF(E5&lt;1,B6*2,B6*1)</f>
        <v>10</v>
      </c>
      <c r="E26" s="11" t="s">
        <v>36</v>
      </c>
      <c r="F26" s="11"/>
      <c r="G26" s="11"/>
      <c r="H26" s="11"/>
      <c r="I26" s="11"/>
      <c r="J26" s="11"/>
      <c r="K26" s="11"/>
      <c r="L26" s="11"/>
    </row>
    <row r="27" spans="1:25" x14ac:dyDescent="0.3">
      <c r="A27" s="11" t="s">
        <v>53</v>
      </c>
      <c r="B27" s="11"/>
      <c r="C27" s="13" t="s">
        <v>43</v>
      </c>
      <c r="D27" s="4">
        <f>B6*0.1</f>
        <v>1</v>
      </c>
      <c r="E27" s="11" t="s">
        <v>36</v>
      </c>
      <c r="F27" s="11"/>
      <c r="G27" s="11"/>
      <c r="H27" s="11"/>
      <c r="I27" s="11"/>
      <c r="J27" s="11"/>
      <c r="K27" s="11"/>
      <c r="L27" s="11"/>
    </row>
    <row r="28" spans="1:25" x14ac:dyDescent="0.3">
      <c r="A28" s="3" t="s">
        <v>54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5" x14ac:dyDescent="0.3">
      <c r="A29" s="11" t="s">
        <v>55</v>
      </c>
      <c r="B29" s="11"/>
      <c r="C29" s="13" t="s">
        <v>56</v>
      </c>
      <c r="D29" s="2">
        <f>B6*10</f>
        <v>100</v>
      </c>
      <c r="E29" s="11" t="s">
        <v>57</v>
      </c>
      <c r="F29" s="4">
        <f>B6*0.1</f>
        <v>1</v>
      </c>
      <c r="G29" s="11" t="s">
        <v>58</v>
      </c>
      <c r="H29" s="11"/>
      <c r="I29" s="11"/>
      <c r="J29" s="11"/>
      <c r="K29" s="11"/>
      <c r="L29" s="11"/>
    </row>
    <row r="30" spans="1:25" x14ac:dyDescent="0.3">
      <c r="A30" s="11" t="s">
        <v>59</v>
      </c>
      <c r="B30" s="11"/>
      <c r="C30" s="13" t="s">
        <v>60</v>
      </c>
      <c r="D30" s="2">
        <f>B6*5</f>
        <v>50</v>
      </c>
      <c r="E30" s="11" t="s">
        <v>61</v>
      </c>
      <c r="F30" s="16"/>
      <c r="G30" s="11"/>
      <c r="H30" s="11"/>
      <c r="I30" s="11"/>
      <c r="J30" s="11"/>
      <c r="K30" s="11"/>
      <c r="L30" s="11"/>
    </row>
    <row r="31" spans="1:25" x14ac:dyDescent="0.3">
      <c r="A31" s="11" t="s">
        <v>62</v>
      </c>
      <c r="B31" s="11"/>
      <c r="C31" s="13" t="s">
        <v>63</v>
      </c>
      <c r="D31" s="2">
        <f>IF(B6*20&gt;1200,1200,IF(B6*20&lt;100,100,B6*20))</f>
        <v>200</v>
      </c>
      <c r="E31" s="11" t="s">
        <v>57</v>
      </c>
      <c r="F31" s="17"/>
      <c r="G31" s="11"/>
      <c r="H31" s="11"/>
      <c r="I31" s="11"/>
      <c r="J31" s="11"/>
      <c r="K31" s="11"/>
      <c r="L31" s="11"/>
    </row>
    <row r="32" spans="1:25" x14ac:dyDescent="0.3">
      <c r="A32" s="11" t="s">
        <v>64</v>
      </c>
      <c r="B32" s="11"/>
      <c r="C32" s="13" t="s">
        <v>65</v>
      </c>
      <c r="D32" s="4">
        <f>B6*0.11</f>
        <v>1.1000000000000001</v>
      </c>
      <c r="E32" s="11" t="s">
        <v>66</v>
      </c>
      <c r="F32" s="5">
        <f>B6*0.5</f>
        <v>5</v>
      </c>
      <c r="G32" s="11" t="s">
        <v>67</v>
      </c>
      <c r="H32" s="11"/>
      <c r="I32" s="11"/>
      <c r="J32" s="11"/>
      <c r="K32" s="11"/>
      <c r="L32" s="11"/>
    </row>
    <row r="33" spans="1:25" ht="15" thickBot="1" x14ac:dyDescent="0.35">
      <c r="A33" s="11" t="s">
        <v>68</v>
      </c>
      <c r="B33" s="11"/>
      <c r="C33" s="13" t="s">
        <v>69</v>
      </c>
      <c r="D33" s="2">
        <f>IF(B6*50&gt;2000,2000,B6*50)</f>
        <v>500</v>
      </c>
      <c r="E33" s="11" t="s">
        <v>61</v>
      </c>
      <c r="F33" s="4">
        <f>D33/500</f>
        <v>1</v>
      </c>
      <c r="G33" s="11" t="s">
        <v>70</v>
      </c>
      <c r="H33" s="11"/>
      <c r="I33" s="11"/>
      <c r="J33" s="11"/>
      <c r="K33" s="11"/>
      <c r="L33" s="11"/>
    </row>
    <row r="34" spans="1:25" x14ac:dyDescent="0.3">
      <c r="A34" s="11" t="s">
        <v>1</v>
      </c>
      <c r="B34" s="35" t="str">
        <f>B4</f>
        <v>John Smith</v>
      </c>
      <c r="C34" s="36"/>
      <c r="D34" s="11" t="s">
        <v>3</v>
      </c>
      <c r="E34" s="6">
        <f ca="1">TODAY()</f>
        <v>44925</v>
      </c>
      <c r="F34" s="7" t="s">
        <v>71</v>
      </c>
      <c r="G34" s="7"/>
      <c r="H34" s="7"/>
      <c r="I34" s="7"/>
      <c r="J34" s="7"/>
      <c r="K34" s="7"/>
      <c r="L34" s="7"/>
    </row>
    <row r="35" spans="1:25" x14ac:dyDescent="0.3">
      <c r="A35" s="11" t="s">
        <v>5</v>
      </c>
      <c r="B35" s="37">
        <f>B5</f>
        <v>43803</v>
      </c>
      <c r="C35" s="38"/>
      <c r="D35" s="11" t="s">
        <v>6</v>
      </c>
      <c r="E35" s="8">
        <f ca="1">E5</f>
        <v>3.0739726027397261</v>
      </c>
      <c r="F35" s="7" t="s">
        <v>72</v>
      </c>
      <c r="G35" s="7"/>
      <c r="H35" s="7"/>
      <c r="I35" s="7"/>
      <c r="J35" s="7"/>
      <c r="K35" s="7"/>
      <c r="L35" s="7"/>
    </row>
    <row r="36" spans="1:25" ht="15" thickBot="1" x14ac:dyDescent="0.35">
      <c r="A36" s="11" t="s">
        <v>73</v>
      </c>
      <c r="B36" s="39">
        <f>B6</f>
        <v>10</v>
      </c>
      <c r="C36" s="40"/>
      <c r="D36" s="11" t="s">
        <v>74</v>
      </c>
      <c r="E36" s="8">
        <f ca="1">E6</f>
        <v>14.147945205479452</v>
      </c>
      <c r="F36" s="7" t="s">
        <v>75</v>
      </c>
      <c r="G36" s="7"/>
      <c r="H36" s="7"/>
      <c r="I36" s="7"/>
      <c r="J36" s="7"/>
      <c r="K36" s="7"/>
      <c r="L36" s="7"/>
    </row>
    <row r="37" spans="1:25" s="3" customFormat="1" x14ac:dyDescent="0.3">
      <c r="A37" s="3" t="s">
        <v>76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x14ac:dyDescent="0.3">
      <c r="A38" s="11" t="s">
        <v>77</v>
      </c>
      <c r="B38" s="13"/>
      <c r="C38" s="12">
        <f>IF(B6*0.3&gt;3.99,"4",B6*0.3)</f>
        <v>3</v>
      </c>
      <c r="D38" s="15" t="s">
        <v>78</v>
      </c>
      <c r="E38" s="11"/>
      <c r="F38" s="27" t="str">
        <f>IF((B6*0.3)&gt;3.99,(B6*6/80),"1")</f>
        <v>1</v>
      </c>
      <c r="G38" s="19" t="s">
        <v>79</v>
      </c>
      <c r="H38" s="11"/>
      <c r="I38" s="11"/>
      <c r="J38" s="11"/>
      <c r="K38" s="11"/>
      <c r="L38" s="11"/>
    </row>
    <row r="39" spans="1:25" x14ac:dyDescent="0.3">
      <c r="A39" s="11" t="s">
        <v>80</v>
      </c>
      <c r="B39" s="13"/>
      <c r="C39" s="30"/>
      <c r="D39" s="32">
        <f>B6*0.3</f>
        <v>3</v>
      </c>
      <c r="E39" s="11" t="s">
        <v>81</v>
      </c>
      <c r="F39" s="31"/>
      <c r="G39" s="19"/>
      <c r="H39" s="11"/>
      <c r="I39" s="11"/>
      <c r="J39" s="11"/>
      <c r="K39" s="11"/>
      <c r="L39" s="11"/>
    </row>
    <row r="40" spans="1:25" x14ac:dyDescent="0.3">
      <c r="A40" s="11" t="s">
        <v>82</v>
      </c>
      <c r="B40" s="13"/>
      <c r="C40" s="4">
        <f>B6/2</f>
        <v>5</v>
      </c>
      <c r="D40" s="15" t="s">
        <v>83</v>
      </c>
      <c r="E40" s="11"/>
      <c r="F40" s="11"/>
      <c r="G40" s="11"/>
      <c r="H40" s="11"/>
      <c r="I40" s="11"/>
      <c r="J40" s="11"/>
      <c r="K40" s="11"/>
      <c r="L40" s="11"/>
    </row>
    <row r="41" spans="1:25" x14ac:dyDescent="0.3">
      <c r="A41" s="11" t="s">
        <v>59</v>
      </c>
      <c r="B41" s="13"/>
      <c r="C41" s="4">
        <f>IF(B6*15&gt;2499,2500,B6*15)</f>
        <v>150</v>
      </c>
      <c r="D41" s="15" t="s">
        <v>84</v>
      </c>
      <c r="E41" s="11"/>
      <c r="F41" s="11"/>
      <c r="G41" s="11"/>
      <c r="H41" s="11"/>
      <c r="I41" s="11"/>
      <c r="J41" s="11"/>
      <c r="K41" s="11"/>
      <c r="L41" s="11"/>
    </row>
    <row r="42" spans="1:25" x14ac:dyDescent="0.3">
      <c r="A42" s="11" t="s">
        <v>48</v>
      </c>
      <c r="B42" s="13"/>
      <c r="C42" s="4">
        <f>B6/33.333</f>
        <v>0.3000030000300003</v>
      </c>
      <c r="D42" s="28" t="s">
        <v>85</v>
      </c>
      <c r="E42" s="11"/>
      <c r="F42" s="11"/>
      <c r="G42" s="11"/>
      <c r="H42" s="11"/>
      <c r="I42" s="11"/>
      <c r="J42" s="11"/>
      <c r="K42" s="11"/>
      <c r="L42" s="11"/>
    </row>
    <row r="43" spans="1:25" x14ac:dyDescent="0.3">
      <c r="A43" s="11" t="s">
        <v>86</v>
      </c>
      <c r="B43" s="13"/>
      <c r="C43" s="2">
        <f>B6*50</f>
        <v>500</v>
      </c>
      <c r="D43" s="15" t="s">
        <v>87</v>
      </c>
      <c r="E43" s="11"/>
      <c r="F43" s="5">
        <v>1</v>
      </c>
      <c r="G43" s="19" t="s">
        <v>88</v>
      </c>
      <c r="H43" s="11"/>
      <c r="I43" s="11"/>
      <c r="J43" s="11"/>
      <c r="K43" s="11"/>
      <c r="L43" s="11"/>
    </row>
    <row r="44" spans="1:25" x14ac:dyDescent="0.3">
      <c r="A44" s="11" t="s">
        <v>89</v>
      </c>
      <c r="B44" s="13"/>
      <c r="C44" s="4">
        <f>0.3*B6</f>
        <v>3</v>
      </c>
      <c r="D44" s="15" t="s">
        <v>90</v>
      </c>
      <c r="E44" s="11"/>
      <c r="F44" s="11"/>
      <c r="G44" s="11"/>
      <c r="H44" s="11"/>
      <c r="I44" s="11"/>
      <c r="J44" s="11"/>
      <c r="K44" s="11"/>
      <c r="L44" s="11"/>
    </row>
    <row r="45" spans="1:25" x14ac:dyDescent="0.3">
      <c r="A45" s="11" t="s">
        <v>91</v>
      </c>
      <c r="B45" s="13"/>
      <c r="C45" s="2">
        <f>+IF(B6&gt;29.99,400,200)</f>
        <v>200</v>
      </c>
      <c r="D45" s="15" t="s">
        <v>87</v>
      </c>
      <c r="E45" s="11"/>
      <c r="F45" s="10">
        <f>IF(B6&gt;29.99,(B6*0.1/8),(B6*0.1/4))</f>
        <v>0.25</v>
      </c>
      <c r="G45" s="23" t="s">
        <v>92</v>
      </c>
      <c r="H45" s="11"/>
      <c r="I45" s="11"/>
      <c r="J45" s="11"/>
      <c r="K45" s="11"/>
      <c r="L45" s="11"/>
    </row>
    <row r="46" spans="1:25" x14ac:dyDescent="0.3">
      <c r="A46" s="11" t="s">
        <v>93</v>
      </c>
      <c r="B46" s="13" t="s">
        <v>94</v>
      </c>
      <c r="C46" s="4">
        <f>IF(B6*15&gt;624,625,B6*15)</f>
        <v>150</v>
      </c>
      <c r="D46" s="15" t="s">
        <v>95</v>
      </c>
      <c r="E46" s="11"/>
      <c r="F46" s="4">
        <f>IF(C46&gt;624,(5*B6*60)/12500,1)</f>
        <v>1</v>
      </c>
      <c r="G46" s="23" t="s">
        <v>96</v>
      </c>
      <c r="H46" s="11"/>
      <c r="I46" s="11"/>
      <c r="J46" s="11"/>
      <c r="K46" s="11"/>
      <c r="L46" s="11"/>
    </row>
    <row r="47" spans="1:25" x14ac:dyDescent="0.3">
      <c r="A47" s="11" t="s">
        <v>97</v>
      </c>
      <c r="B47" s="13" t="s">
        <v>94</v>
      </c>
      <c r="C47" s="4">
        <f>B6*15</f>
        <v>150</v>
      </c>
      <c r="D47" s="15" t="s">
        <v>98</v>
      </c>
      <c r="E47" s="11"/>
      <c r="F47" s="11"/>
      <c r="G47" s="11"/>
      <c r="H47" s="11"/>
      <c r="I47" s="11"/>
      <c r="J47" s="11"/>
      <c r="K47" s="11"/>
      <c r="L47" s="11"/>
    </row>
    <row r="48" spans="1:25" x14ac:dyDescent="0.3">
      <c r="A48" s="11" t="s">
        <v>99</v>
      </c>
      <c r="B48" s="13"/>
      <c r="C48" s="4">
        <f>(B6*50*60/10000)</f>
        <v>3</v>
      </c>
      <c r="D48" s="15" t="s">
        <v>100</v>
      </c>
      <c r="E48" s="11"/>
      <c r="F48" s="11"/>
      <c r="G48" s="11"/>
      <c r="H48" s="11"/>
      <c r="I48" s="11"/>
      <c r="J48" s="11"/>
      <c r="K48" s="11"/>
      <c r="L48" s="11"/>
    </row>
    <row r="49" spans="1:12" x14ac:dyDescent="0.3">
      <c r="A49" s="11" t="s">
        <v>101</v>
      </c>
      <c r="B49" s="13"/>
      <c r="C49" s="13"/>
      <c r="D49" s="20">
        <f>IF((B6*2)&gt;50,50,B6*2)</f>
        <v>20</v>
      </c>
      <c r="E49" s="21" t="s">
        <v>102</v>
      </c>
      <c r="F49" s="11"/>
      <c r="G49" s="18">
        <f>IF((B6*0.1)&gt;10,10,B6*0.1)</f>
        <v>1</v>
      </c>
      <c r="H49" s="11" t="s">
        <v>103</v>
      </c>
      <c r="I49" s="11"/>
      <c r="J49" s="11"/>
      <c r="K49" s="11"/>
      <c r="L49" s="11"/>
    </row>
    <row r="50" spans="1:12" x14ac:dyDescent="0.3">
      <c r="A50" s="11" t="s">
        <v>104</v>
      </c>
      <c r="B50" s="13"/>
      <c r="C50" s="12">
        <f>IF((50*B6)&gt;500,"(NEAT)           500",50*B6)</f>
        <v>500</v>
      </c>
      <c r="D50" s="15" t="s">
        <v>105</v>
      </c>
      <c r="E50" s="11"/>
      <c r="F50" s="5">
        <f>IF(C50&gt;499,(B6/100),0.2)</f>
        <v>0.1</v>
      </c>
      <c r="G50" s="11" t="s">
        <v>106</v>
      </c>
      <c r="H50" s="11"/>
      <c r="I50" s="11"/>
      <c r="J50" s="11"/>
      <c r="K50" s="11"/>
      <c r="L50" s="11"/>
    </row>
    <row r="51" spans="1:12" x14ac:dyDescent="0.3">
      <c r="A51" s="11" t="s">
        <v>44</v>
      </c>
      <c r="B51" s="13"/>
      <c r="C51" s="4">
        <f>IF(B6*200&gt;2500,2500,B6*200)</f>
        <v>2000</v>
      </c>
      <c r="D51" s="15" t="s">
        <v>87</v>
      </c>
      <c r="E51" s="11"/>
      <c r="F51" s="5">
        <f>IF(C51&gt;2499,(B6*4)/50,1)</f>
        <v>1</v>
      </c>
      <c r="G51" s="24" t="s">
        <v>107</v>
      </c>
      <c r="H51" s="11"/>
      <c r="I51" s="11"/>
      <c r="J51" s="11"/>
      <c r="K51" s="11"/>
      <c r="L51" s="11"/>
    </row>
    <row r="52" spans="1:12" x14ac:dyDescent="0.3">
      <c r="A52" s="11" t="s">
        <v>108</v>
      </c>
      <c r="B52" s="13"/>
      <c r="C52" s="4">
        <f>B6/10</f>
        <v>1</v>
      </c>
      <c r="D52" s="15" t="s">
        <v>109</v>
      </c>
      <c r="E52" s="11"/>
      <c r="F52" s="11"/>
      <c r="G52" s="25"/>
      <c r="H52" s="11"/>
      <c r="I52" s="11"/>
      <c r="J52" s="11"/>
      <c r="K52" s="11"/>
      <c r="L52" s="11"/>
    </row>
    <row r="53" spans="1:12" x14ac:dyDescent="0.3">
      <c r="A53" s="11" t="s">
        <v>34</v>
      </c>
      <c r="B53" s="13"/>
      <c r="C53" s="12">
        <f>IF((B6*50&gt;4999)," (NEAT)           5000",B6*50)</f>
        <v>500</v>
      </c>
      <c r="D53" s="15" t="s">
        <v>110</v>
      </c>
      <c r="E53" s="11"/>
      <c r="F53" s="5">
        <f>IF((C53&gt;4999),(B6*10*60/100000),0.6)</f>
        <v>0.6</v>
      </c>
      <c r="G53" s="24" t="s">
        <v>111</v>
      </c>
      <c r="H53" s="11"/>
      <c r="I53" s="11"/>
      <c r="J53" s="11"/>
      <c r="K53" s="11"/>
      <c r="L53" s="11"/>
    </row>
    <row r="54" spans="1:12" x14ac:dyDescent="0.3">
      <c r="A54" s="11" t="s">
        <v>42</v>
      </c>
      <c r="B54" s="13"/>
      <c r="C54" s="12">
        <f>IF((B6*5)&gt;250,"(MAX)             250",B6*5)</f>
        <v>50</v>
      </c>
      <c r="D54" s="15" t="s">
        <v>78</v>
      </c>
      <c r="E54" s="11"/>
      <c r="F54" s="5">
        <f>IF(C54&gt;249.99,B6/50,1)</f>
        <v>1</v>
      </c>
      <c r="G54" s="21" t="s">
        <v>112</v>
      </c>
      <c r="H54" s="11"/>
      <c r="I54" s="11"/>
      <c r="J54" s="11"/>
      <c r="K54" s="11"/>
      <c r="L54" s="11"/>
    </row>
    <row r="55" spans="1:12" x14ac:dyDescent="0.3">
      <c r="A55" s="11" t="s">
        <v>113</v>
      </c>
      <c r="B55" s="13"/>
      <c r="C55" s="12">
        <f>IF((B6*1.5&gt;49.9),"(NEAT)              50",B6*1.5)</f>
        <v>15</v>
      </c>
      <c r="D55" s="15" t="s">
        <v>110</v>
      </c>
      <c r="E55" s="11"/>
      <c r="F55" s="5">
        <f>IF((C55&gt;49.9),B6*0.03,1)</f>
        <v>1</v>
      </c>
      <c r="G55" s="19" t="s">
        <v>114</v>
      </c>
      <c r="H55" s="11"/>
      <c r="I55" s="11"/>
      <c r="J55" s="11"/>
      <c r="K55" s="11"/>
      <c r="L55" s="11"/>
    </row>
    <row r="56" spans="1:12" x14ac:dyDescent="0.3">
      <c r="A56" s="11" t="s">
        <v>115</v>
      </c>
      <c r="B56" s="13"/>
      <c r="C56" s="4">
        <f>IF(B6&gt;50,50,B6)</f>
        <v>10</v>
      </c>
      <c r="D56" s="15" t="s">
        <v>110</v>
      </c>
      <c r="E56" s="11"/>
      <c r="F56" s="5">
        <f>IF(C56&gt;49.9,(B6*20)/1000,1)</f>
        <v>1</v>
      </c>
      <c r="G56" s="23" t="s">
        <v>116</v>
      </c>
      <c r="H56" s="11"/>
      <c r="I56" s="11"/>
      <c r="J56" s="11"/>
      <c r="K56" s="11"/>
      <c r="L56" s="11"/>
    </row>
    <row r="57" spans="1:12" x14ac:dyDescent="0.3">
      <c r="A57" s="11" t="s">
        <v>117</v>
      </c>
      <c r="B57" s="13"/>
      <c r="C57" s="12">
        <f>IF(0.3*B6&gt;3.99,"4",0.3*B6)</f>
        <v>3</v>
      </c>
      <c r="D57" s="15" t="s">
        <v>118</v>
      </c>
      <c r="E57" s="11"/>
      <c r="F57" s="10">
        <f>IF((B6*0.3)&gt;3.99,(B6*6/80),1)</f>
        <v>1</v>
      </c>
      <c r="G57" s="19" t="s">
        <v>119</v>
      </c>
      <c r="H57" s="11"/>
      <c r="I57" s="11"/>
      <c r="J57" s="11"/>
      <c r="K57" s="11"/>
      <c r="L57" s="11"/>
    </row>
    <row r="58" spans="1:12" x14ac:dyDescent="0.3">
      <c r="A58" s="11" t="s">
        <v>50</v>
      </c>
      <c r="B58" s="13"/>
      <c r="C58" s="4">
        <f>B6/10</f>
        <v>1</v>
      </c>
      <c r="D58" s="28" t="s">
        <v>120</v>
      </c>
      <c r="E58" s="11"/>
      <c r="F58" s="17"/>
      <c r="G58" s="19"/>
      <c r="H58" s="11"/>
      <c r="I58" s="11"/>
      <c r="J58" s="11"/>
      <c r="K58" s="11"/>
      <c r="L58" s="11"/>
    </row>
    <row r="59" spans="1:12" x14ac:dyDescent="0.3">
      <c r="A59" s="11" t="s">
        <v>121</v>
      </c>
      <c r="B59" s="13"/>
      <c r="C59" s="4">
        <f>IF(B6/3.3333333&gt;5.99,6,B6/3.333333)</f>
        <v>3.0000003000000297</v>
      </c>
      <c r="D59" s="23" t="s">
        <v>122</v>
      </c>
      <c r="E59" s="11"/>
      <c r="F59" s="11"/>
      <c r="G59" s="11"/>
      <c r="H59" s="11"/>
      <c r="I59" s="11"/>
      <c r="J59" s="11"/>
      <c r="K59" s="29" t="s">
        <v>123</v>
      </c>
      <c r="L59" s="11"/>
    </row>
    <row r="60" spans="1:12" x14ac:dyDescent="0.3">
      <c r="A60" s="11" t="s">
        <v>124</v>
      </c>
      <c r="B60" s="13" t="s">
        <v>125</v>
      </c>
      <c r="C60" s="4">
        <f>B6*0.9</f>
        <v>9</v>
      </c>
      <c r="D60" s="15" t="s">
        <v>126</v>
      </c>
      <c r="E60" s="11"/>
      <c r="F60" s="11"/>
      <c r="G60" s="11"/>
      <c r="H60" s="11"/>
      <c r="I60" s="11"/>
      <c r="J60" s="11"/>
      <c r="K60" s="11"/>
      <c r="L60" s="11"/>
    </row>
    <row r="61" spans="1:12" x14ac:dyDescent="0.3">
      <c r="A61" s="11" t="s">
        <v>53</v>
      </c>
      <c r="B61" s="13"/>
      <c r="C61" s="4">
        <f>IF(B6*2.5&gt;50,50,B6*5)</f>
        <v>50</v>
      </c>
      <c r="D61" s="15" t="s">
        <v>127</v>
      </c>
      <c r="E61" s="11"/>
      <c r="F61" s="10">
        <f>IF(C61&gt;49.9,(B6/10),1)</f>
        <v>1</v>
      </c>
      <c r="G61" s="26" t="s">
        <v>128</v>
      </c>
      <c r="H61" s="11"/>
      <c r="I61" s="11"/>
      <c r="J61" s="11"/>
      <c r="K61" s="11"/>
      <c r="L61" s="11"/>
    </row>
  </sheetData>
  <sheetProtection algorithmName="SHA-512" hashValue="slG3u1w3b4Kdd1V8qR+AyQn1el+pVRSsGZlcuX94tHIQl2JFmAua8CzB/EPiaCCOenfIkKzO9ViaJRWkfy1SsA==" saltValue="/RXwQWAVGVQMIM030Amriw==" spinCount="100000" sheet="1" selectLockedCells="1"/>
  <customSheetViews>
    <customSheetView guid="{6A89CAE6-4226-4F8A-9676-6679963C9F13}">
      <selection activeCell="B5" sqref="B5:C7"/>
      <pageMargins left="0" right="0" top="0" bottom="0" header="0" footer="0"/>
      <pageSetup paperSize="9" orientation="landscape"/>
    </customSheetView>
  </customSheetViews>
  <mergeCells count="8">
    <mergeCell ref="I1:L6"/>
    <mergeCell ref="A1:H2"/>
    <mergeCell ref="B34:C34"/>
    <mergeCell ref="B35:C35"/>
    <mergeCell ref="B36:C36"/>
    <mergeCell ref="B4:C4"/>
    <mergeCell ref="B5:C5"/>
    <mergeCell ref="B6:C6"/>
  </mergeCells>
  <phoneticPr fontId="3" type="noConversion"/>
  <pageMargins left="0.25" right="0.25" top="0.75" bottom="0.75" header="0.3" footer="0.3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customSheetViews>
    <customSheetView guid="{6A89CAE6-4226-4F8A-9676-6679963C9F13}">
      <pageMargins left="0" right="0" top="0" bottom="0" header="0" footer="0"/>
    </customSheetView>
  </customSheetViews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customSheetViews>
    <customSheetView guid="{6A89CAE6-4226-4F8A-9676-6679963C9F13}">
      <pageMargins left="0" right="0" top="0" bottom="0" header="0" footer="0"/>
    </customSheetView>
  </customSheetViews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92D80EAAFDE54983B68168984CDA3D" ma:contentTypeVersion="11" ma:contentTypeDescription="Create a new document." ma:contentTypeScope="" ma:versionID="7a681534a18058c871731f9f72e091d5">
  <xsd:schema xmlns:xsd="http://www.w3.org/2001/XMLSchema" xmlns:xs="http://www.w3.org/2001/XMLSchema" xmlns:p="http://schemas.microsoft.com/office/2006/metadata/properties" xmlns:ns3="73062b60-c46f-4f09-b8c8-0491c36b2fd3" xmlns:ns4="719183c4-6b19-4b3d-b7f7-28fa69241ac2" targetNamespace="http://schemas.microsoft.com/office/2006/metadata/properties" ma:root="true" ma:fieldsID="55b4f44d7300cacaa0c94a15800437ad" ns3:_="" ns4:_="">
    <xsd:import namespace="73062b60-c46f-4f09-b8c8-0491c36b2fd3"/>
    <xsd:import namespace="719183c4-6b19-4b3d-b7f7-28fa69241ac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62b60-c46f-4f09-b8c8-0491c36b2f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183c4-6b19-4b3d-b7f7-28fa69241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90F3AC-7D87-4FE0-B604-4403AEBF6005}">
  <ds:schemaRefs>
    <ds:schemaRef ds:uri="http://purl.org/dc/terms/"/>
    <ds:schemaRef ds:uri="73062b60-c46f-4f09-b8c8-0491c36b2fd3"/>
    <ds:schemaRef ds:uri="http://schemas.microsoft.com/office/2006/documentManagement/types"/>
    <ds:schemaRef ds:uri="http://schemas.microsoft.com/office/infopath/2007/PartnerControls"/>
    <ds:schemaRef ds:uri="719183c4-6b19-4b3d-b7f7-28fa69241ac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A54530-406B-405F-A966-45C250FB2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062b60-c46f-4f09-b8c8-0491c36b2fd3"/>
    <ds:schemaRef ds:uri="719183c4-6b19-4b3d-b7f7-28fa69241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A70DB7-41B7-4CA9-8D60-042F7EEF10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Terris</dc:creator>
  <cp:keywords/>
  <dc:description/>
  <cp:lastModifiedBy>Lavery, Annette</cp:lastModifiedBy>
  <cp:revision/>
  <dcterms:created xsi:type="dcterms:W3CDTF">2009-09-14T09:26:26Z</dcterms:created>
  <dcterms:modified xsi:type="dcterms:W3CDTF">2022-12-30T13:04:18Z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0x0101003392D80EAAFDE54983B68168984CDA3D</vt:lpwstr>
  </property>
</Properties>
</file>